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<sst xmlns="http://schemas.openxmlformats.org/spreadsheetml/2006/main" count="3042" uniqueCount="2099">
  <si>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</si>
  <si>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</si>
  <si>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</si>
  <si>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</si>
  <si>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</si>
  <si>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</si>
  <si>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</si>
  <si>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</si>
  <si>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</si>
  <si>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</si>
  <si>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</si>
  <si>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</si>
  <si>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</si>
  <si>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</si>
  <si>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</si>
  <si>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</si>
  <si>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</si>
  <si>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</si>
  <si>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</si>
  <si>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</si>
  <si>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</si>
  <si>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</si>
  <si>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</si>
  <si>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</si>
  <si>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</si>
  <si>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</si>
  <si>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</si>
  <si>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</si>
  <si>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</si>
  <si>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</si>
  <si>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</si>
  <si>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</si>
  <si>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</si>
  <si>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</si>
  <si>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</si>
  <si>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</si>
  <si>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</si>
  <si>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</si>
  <si>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</si>
  <si>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</si>
  <si>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</si>
  <si>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</si>
  <si>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</si>
  <si>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</si>
  <si>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</si>
  <si>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</si>
  <si>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</si>
  <si>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</si>
  <si>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</si>
  <si>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</si>
  <si>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</si>
  <si>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</si>
  <si>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</si>
  <si>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</si>
  <si>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</si>
  <si>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</si>
  <si>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</si>
  <si>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</si>
  <si>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</si>
  <si>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</si>
  <si>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</si>
  <si>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</si>
  <si>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</si>
  <si>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</si>
  <si>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</si>
  <si>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</si>
  <si>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</si>
  <si>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</si>
  <si>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</si>
  <si>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</si>
  <si>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</si>
  <si>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</si>
  <si>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</si>
  <si>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</si>
  <si>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</si>
  <si>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</si>
  <si>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</si>
  <si>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</si>
  <si>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</si>
  <si>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</si>
  <si>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</si>
  <si>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</si>
  <si>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</si>
  <si>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</si>
  <si>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</si>
  <si>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</si>
  <si>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</si>
  <si>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</si>
  <si>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</si>
  <si>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</si>
  <si>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</si>
  <si>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</si>
  <si>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</si>
  <si>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</si>
  <si>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</si>
  <si>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</si>
  <si>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</si>
  <si>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</si>
  <si>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</si>
  <si>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</si>
  <si>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</si>
  <si>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</si>
  <si>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</si>
  <si>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</si>
  <si>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</si>
  <si>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</si>
  <si>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</si>
  <si>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</si>
  <si>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</si>
  <si>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</si>
  <si>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</si>
  <si>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</si>
  <si>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</si>
  <si>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</si>
  <si>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</si>
  <si>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</si>
  <si>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</si>
  <si>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</si>
  <si>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</si>
  <si>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</si>
  <si>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</si>
  <si>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</si>
  <si>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</si>
  <si>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</si>
  <si>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</si>
  <si>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</si>
  <si>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</si>
  <si>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</si>
  <si>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</si>
  <si>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</si>
  <si>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</si>
  <si>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</si>
  <si>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</si>
  <si>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</si>
  <si>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</si>
  <si>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</si>
  <si>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</si>
  <si>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</si>
  <si>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</si>
  <si>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</si>
  <si>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</si>
  <si>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</si>
  <si>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</si>
  <si>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</si>
  <si>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</si>
  <si>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</si>
  <si>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</si>
  <si>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</si>
  <si>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</si>
  <si>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</si>
  <si>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</si>
  <si>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</si>
  <si>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</si>
  <si>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</si>
  <si>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</si>
  <si>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</si>
  <si>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</si>
  <si>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</si>
  <si>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</si>
  <si>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</si>
  <si>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</si>
  <si>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</si>
  <si>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</si>
  <si>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</si>
  <si>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</si>
  <si>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</si>
  <si>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</si>
  <si>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</si>
  <si>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</si>
  <si>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</si>
  <si>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</si>
  <si>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</si>
  <si>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</si>
  <si>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</si>
  <si>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</si>
  <si>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</si>
  <si>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</si>
  <si>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</si>
  <si>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</si>
  <si>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</si>
  <si>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</si>
  <si>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</si>
  <si>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</si>
  <si>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</si>
  <si>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</si>
  <si>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</si>
  <si>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</si>
  <si>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</si>
  <si>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</si>
  <si>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</si>
  <si>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</si>
  <si>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</si>
  <si>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</si>
  <si>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</si>
  <si>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</si>
  <si>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</si>
  <si>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</si>
  <si>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</si>
  <si>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</si>
  <si>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</si>
  <si>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</si>
  <si>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</si>
  <si>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</si>
  <si>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</si>
  <si>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</si>
  <si>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</si>
  <si>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</si>
  <si>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</si>
  <si>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</si>
  <si>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</si>
  <si>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</si>
  <si>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</si>
  <si>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</si>
  <si>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</si>
  <si>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</si>
  <si>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</si>
  <si>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</si>
  <si>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</si>
  <si>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</si>
  <si>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</si>
  <si>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</si>
  <si>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</si>
  <si>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</si>
  <si>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</si>
  <si>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</si>
  <si>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</si>
  <si>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</si>
  <si>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</si>
  <si>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</si>
  <si>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</si>
  <si>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</si>
  <si>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</si>
  <si>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</si>
  <si>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</si>
  <si>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</si>
  <si>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</si>
  <si>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</si>
  <si>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</si>
  <si>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</si>
  <si>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</si>
  <si>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</si>
  <si>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</si>
  <si>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</si>
  <si>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</si>
  <si>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</si>
  <si>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</si>
  <si>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</si>
  <si>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</si>
  <si>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</si>
  <si>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</si>
  <si>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</si>
  <si>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</si>
  <si>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</si>
  <si>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</si>
  <si>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</si>
  <si>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</si>
  <si>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</si>
  <si>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</si>
  <si>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</si>
  <si>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</si>
  <si>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</si>
  <si>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</si>
  <si>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</si>
  <si>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</si>
  <si>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</si>
  <si>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</si>
  <si>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</si>
  <si>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</si>
  <si>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</si>
  <si>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</si>
  <si>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</si>
  <si>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</si>
  <si>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</si>
  <si>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</si>
  <si>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</si>
  <si>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</si>
  <si>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</si>
  <si>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</si>
  <si>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</si>
  <si>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</si>
  <si>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</si>
  <si>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</si>
  <si>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</si>
  <si>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</si>
  <si>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</si>
  <si>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</si>
  <si>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</si>
  <si>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</si>
  <si>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</si>
  <si>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</si>
  <si>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</si>
  <si>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</si>
  <si>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</si>
  <si>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</si>
  <si>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</si>
  <si>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</si>
  <si>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</si>
  <si>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</si>
  <si>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</si>
  <si>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</si>
  <si>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</si>
  <si>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</si>
  <si>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</si>
  <si>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</si>
  <si>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</si>
  <si>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</si>
  <si>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</si>
  <si>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</si>
  <si>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</si>
  <si>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</si>
  <si>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</si>
  <si>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</si>
  <si>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</si>
  <si>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</si>
  <si>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</si>
  <si>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</si>
  <si>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</si>
  <si>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</si>
  <si>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</si>
  <si>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</si>
  <si>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</si>
  <si>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</si>
  <si>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</si>
  <si>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</si>
  <si>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</si>
  <si>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</si>
  <si>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</si>
  <si>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</si>
  <si>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</si>
  <si>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</si>
  <si>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</si>
  <si>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</si>
  <si>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</si>
  <si>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</si>
  <si>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</si>
  <si>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</si>
  <si>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</si>
  <si>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</si>
  <si>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</si>
  <si>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</si>
  <si>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</si>
  <si>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</si>
  <si>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</si>
  <si>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</si>
  <si>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</si>
  <si>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</si>
  <si>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</si>
  <si>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</si>
  <si>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</si>
  <si>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</si>
  <si>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</si>
  <si>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</si>
  <si>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</si>
  <si>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</si>
  <si>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</si>
  <si>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</si>
  <si>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</si>
  <si>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</si>
  <si>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</si>
  <si>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</si>
  <si>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</si>
  <si>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</si>
  <si>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</si>
  <si>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</si>
  <si>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</si>
  <si>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</si>
  <si>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</si>
  <si>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</si>
  <si>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</si>
  <si>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</si>
  <si>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</si>
  <si>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</si>
  <si>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</si>
  <si>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</si>
  <si>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</si>
  <si>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</si>
  <si>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</si>
  <si>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</si>
  <si>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</si>
  <si>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</si>
  <si>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</si>
  <si>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</si>
  <si>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</si>
  <si>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</si>
  <si>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</si>
  <si>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</si>
  <si>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</si>
  <si>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</si>
  <si>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</si>
  <si>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</si>
  <si>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</si>
  <si>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</si>
  <si>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</si>
  <si>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</si>
  <si>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</si>
  <si>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</si>
  <si>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</si>
  <si>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</si>
  <si>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</si>
  <si>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</si>
  <si>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</si>
  <si>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</si>
  <si>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</si>
  <si>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</si>
  <si>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</si>
  <si>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</si>
  <si>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</si>
  <si>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</si>
  <si>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</si>
  <si>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</si>
  <si>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</si>
  <si>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</si>
  <si>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</si>
  <si>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</si>
  <si>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</si>
  <si>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</si>
  <si>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</si>
  <si>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</si>
  <si>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</si>
  <si>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</si>
  <si>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</si>
  <si>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</si>
  <si>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</si>
  <si>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</si>
  <si>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</si>
  <si>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</si>
  <si>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</si>
  <si>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</si>
  <si>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</si>
  <si>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</si>
  <si>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</si>
  <si>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</si>
  <si>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</si>
  <si>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</si>
  <si>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</si>
  <si>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</si>
  <si>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</si>
  <si>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</si>
  <si>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</si>
  <si>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</si>
  <si>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</si>
  <si>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</si>
  <si>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</si>
  <si>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</si>
  <si>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</si>
  <si>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</si>
  <si>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</si>
  <si>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</si>
  <si>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</si>
  <si>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</si>
  <si>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</si>
  <si>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</si>
  <si>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</si>
  <si>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</si>
  <si>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</si>
  <si>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</si>
  <si>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</si>
  <si>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</si>
  <si>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</si>
  <si>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</si>
  <si>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</si>
  <si>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</si>
  <si>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</si>
  <si>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</si>
  <si>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</si>
  <si>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</si>
  <si>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</si>
  <si>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</si>
  <si>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</si>
  <si>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</si>
  <si>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</si>
  <si>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</si>
  <si>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</si>
  <si>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</si>
  <si>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</si>
  <si>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</si>
  <si>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</si>
  <si>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</si>
  <si>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</si>
  <si>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</si>
  <si>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</si>
  <si>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</si>
  <si>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</si>
  <si>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</si>
  <si>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</si>
  <si>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</si>
  <si>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</si>
  <si>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</si>
  <si>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</si>
  <si>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</si>
  <si>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</si>
  <si>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</si>
  <si>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</si>
  <si>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</si>
  <si>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</si>
  <si>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</si>
  <si>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</si>
  <si>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</si>
  <si>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</si>
  <si>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</si>
  <si>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</si>
  <si>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</si>
  <si>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</si>
  <si>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</si>
  <si>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</si>
  <si>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</si>
  <si>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</si>
  <si>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</si>
  <si>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</si>
  <si>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</si>
  <si>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</si>
  <si>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</si>
  <si>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</si>
  <si>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</si>
  <si>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</si>
  <si>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</si>
  <si>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</si>
  <si>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</si>
  <si>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</si>
  <si>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</si>
  <si>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</si>
  <si>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</si>
  <si>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</si>
  <si>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</si>
  <si>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</si>
  <si>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</si>
  <si>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</si>
  <si>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</si>
  <si>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</si>
  <si>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</si>
  <si>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</si>
  <si>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</si>
  <si>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</si>
  <si>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</si>
  <si>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</si>
  <si>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</si>
  <si>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</si>
  <si>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</si>
  <si>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</si>
  <si>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</si>
  <si>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</si>
  <si>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</si>
  <si>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</si>
  <si>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</si>
  <si>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</si>
  <si>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</si>
  <si>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</si>
  <si>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</si>
  <si>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</si>
  <si>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</si>
  <si>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</si>
  <si>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</si>
  <si>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</si>
  <si>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</si>
  <si>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</si>
  <si>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</si>
  <si>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</si>
  <si>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</si>
  <si>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</si>
  <si>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</si>
  <si>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</si>
  <si>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</si>
  <si>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</si>
  <si>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</si>
  <si>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</si>
  <si>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</si>
  <si>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</si>
  <si>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</si>
  <si>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</si>
  <si>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</si>
  <si>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</si>
  <si>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</si>
  <si>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</si>
  <si>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</si>
  <si>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</si>
  <si>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</si>
  <si>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</si>
  <si>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</si>
  <si>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</si>
  <si>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</si>
  <si>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</si>
  <si>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</si>
  <si>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</si>
  <si>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</si>
  <si>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</si>
  <si>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</si>
  <si>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</si>
  <si>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</si>
  <si>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</si>
  <si>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</si>
  <si>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</si>
  <si>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</si>
  <si>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</si>
  <si>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</si>
  <si>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</si>
  <si>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</si>
  <si>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</si>
  <si>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</si>
  <si>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</si>
  <si>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</si>
  <si>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</si>
  <si>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</si>
  <si>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</si>
  <si>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</si>
  <si>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</si>
  <si>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</si>
  <si>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</si>
  <si>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</si>
  <si>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</si>
  <si>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</si>
  <si>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</si>
  <si>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</si>
  <si>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</si>
  <si>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</si>
  <si>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</si>
  <si>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</si>
  <si>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</si>
  <si>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</si>
  <si>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</si>
  <si>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</si>
  <si>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</si>
  <si>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</si>
  <si>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</si>
  <si>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</si>
  <si>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</si>
  <si>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</si>
  <si>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</si>
  <si>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</si>
  <si>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</si>
  <si>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</si>
  <si>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</si>
  <si>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</si>
  <si>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</si>
  <si>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</si>
  <si>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</si>
  <si>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</si>
  <si>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</si>
  <si>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</si>
  <si>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</si>
  <si>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</si>
  <si>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</si>
  <si>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</si>
  <si>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</si>
  <si>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</si>
  <si>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</si>
  <si>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</si>
  <si>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</si>
  <si>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</si>
  <si>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</si>
  <si>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</si>
  <si>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</si>
  <si>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</si>
  <si>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</si>
  <si>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</si>
  <si>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</si>
  <si>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</si>
  <si>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</si>
  <si>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</si>
  <si>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</si>
  <si>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</si>
  <si>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</si>
  <si>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</si>
  <si>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</si>
  <si>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</si>
  <si>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</si>
  <si>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</si>
  <si>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</si>
  <si>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</si>
  <si>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</si>
  <si>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</si>
  <si>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</si>
  <si>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</si>
  <si>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</si>
  <si>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</si>
  <si>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</si>
  <si>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</si>
  <si>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</si>
  <si>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</si>
  <si>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</si>
  <si>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</si>
  <si>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</si>
  <si>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</si>
  <si>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</si>
  <si>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</si>
  <si>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</si>
  <si>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</si>
  <si>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</si>
  <si>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</si>
  <si>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</si>
  <si>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</si>
  <si>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</si>
  <si>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</si>
  <si>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</si>
  <si>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</si>
  <si>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</si>
  <si>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</si>
  <si>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</si>
  <si>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</si>
  <si>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</si>
  <si>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</si>
  <si>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</si>
  <si>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</si>
  <si>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</si>
  <si>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</si>
  <si>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</si>
  <si>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</si>
  <si>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</si>
  <si>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</si>
  <si>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</si>
  <si>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</si>
  <si>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</si>
  <si>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</si>
  <si>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</si>
  <si>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</si>
  <si>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</si>
  <si>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</si>
  <si>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</si>
  <si>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</si>
  <si>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</si>
  <si>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</si>
  <si>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</si>
  <si>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</si>
  <si>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</si>
  <si>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</si>
  <si>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</si>
  <si>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</si>
  <si>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</si>
  <si>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</si>
  <si>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</si>
  <si>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</si>
  <si>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</si>
  <si>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</si>
  <si>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</si>
  <si>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</si>
  <si>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</si>
  <si>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</si>
  <si>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</si>
  <si>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</si>
  <si>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</si>
  <si>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</si>
  <si>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</si>
  <si>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</si>
  <si>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</si>
  <si>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</si>
  <si>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</si>
  <si>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</si>
  <si>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</si>
  <si>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</si>
  <si>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</si>
  <si>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</si>
  <si>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</si>
  <si>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</si>
  <si>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</si>
  <si>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</si>
  <si>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</si>
  <si>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</si>
  <si>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</si>
  <si>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</si>
  <si>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</si>
  <si>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</si>
  <si>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</si>
  <si>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</si>
  <si>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</si>
  <si>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</si>
  <si>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</si>
  <si>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</si>
  <si>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</si>
  <si>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</si>
  <si>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</si>
  <si>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</si>
  <si>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</si>
  <si>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</si>
  <si>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</si>
  <si>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</si>
  <si>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</si>
  <si>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</si>
  <si>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</si>
  <si>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</si>
  <si>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</si>
  <si>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</si>
  <si>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</si>
  <si>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</si>
  <si>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</si>
  <si>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</si>
  <si>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</si>
  <si>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</si>
  <si>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</si>
  <si>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</si>
  <si>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</si>
  <si>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</si>
  <si>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</si>
  <si>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</si>
  <si>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</si>
  <si>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</si>
  <si>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</si>
  <si>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</si>
  <si>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</si>
  <si>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</si>
  <si>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</si>
  <si>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</si>
  <si>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</si>
  <si>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</si>
  <si>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</si>
  <si>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</si>
  <si>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</si>
  <si>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</si>
  <si>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</si>
  <si>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</si>
  <si>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</si>
  <si>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</si>
  <si>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</si>
  <si>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</si>
  <si>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</si>
  <si>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</si>
  <si>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</si>
  <si>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</si>
  <si>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</si>
  <si>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</si>
  <si>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</si>
  <si>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</si>
  <si>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</si>
  <si>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</si>
  <si>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</si>
  <si>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</si>
  <si>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</si>
  <si>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</si>
  <si>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</si>
  <si>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</si>
  <si>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</si>
  <si>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</si>
  <si>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</si>
  <si>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</si>
  <si>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</si>
  <si>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</si>
  <si>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</si>
  <si>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</si>
  <si>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</si>
  <si>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</si>
  <si>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</si>
  <si>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</si>
  <si>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</si>
  <si>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</si>
  <si>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</si>
  <si>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</si>
  <si>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</si>
  <si>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</si>
  <si>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</si>
  <si>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</si>
  <si>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</si>
  <si>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</si>
  <si>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</si>
  <si>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</si>
  <si>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</si>
  <si>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</si>
  <si>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</si>
  <si>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</si>
  <si>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</si>
  <si>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</si>
  <si>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</si>
  <si>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</si>
  <si>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</si>
  <si>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</si>
  <si>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</si>
  <si>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</si>
  <si>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</si>
  <si>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</si>
  <si>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</si>
  <si>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</si>
  <si>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</si>
  <si>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</si>
  <si>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</si>
  <si>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</si>
  <si>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</si>
  <si>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</si>
  <si>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</si>
  <si>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</si>
  <si>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</si>
  <si>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</si>
  <si>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</si>
  <si>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</si>
  <si>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</si>
  <si>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</si>
  <si>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</si>
  <si>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</si>
  <si>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</si>
  <si>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</si>
  <si>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</si>
  <si>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</si>
  <si>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</si>
  <si>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</si>
  <si>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</si>
  <si>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</si>
  <si>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</si>
  <si>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</si>
  <si>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</si>
  <si>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</si>
  <si>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</si>
  <si>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</si>
  <si>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</si>
  <si>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</si>
  <si>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</si>
  <si>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</si>
  <si>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</si>
  <si>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</si>
  <si>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</si>
  <si>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</si>
  <si>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</si>
  <si>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</si>
  <si>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</si>
  <si>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</si>
  <si>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</si>
  <si>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</si>
  <si>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</si>
  <si>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</si>
  <si>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</si>
  <si>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</si>
  <si>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</si>
  <si>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</si>
  <si>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</si>
  <si>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</si>
  <si>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</si>
  <si>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</si>
  <si>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</si>
  <si>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</si>
  <si>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</si>
  <si>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</si>
  <si>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</si>
  <si>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</si>
  <si>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</si>
  <si>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</si>
  <si>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</si>
  <si>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</si>
  <si>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</si>
  <si>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</si>
  <si>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</si>
  <si>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</si>
  <si>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</si>
  <si>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</si>
  <si>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</si>
  <si>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</si>
  <si>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</si>
  <si>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</si>
  <si>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</si>
  <si>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</si>
  <si>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</si>
  <si>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</si>
  <si>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</si>
  <si>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</si>
  <si>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</si>
  <si>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</si>
  <si>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</si>
  <si>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</si>
  <si>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</si>
  <si>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</si>
  <si>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</si>
  <si>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</si>
  <si>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</si>
  <si>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</si>
  <si>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</si>
  <si>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</si>
  <si>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</si>
  <si>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</si>
  <si>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</si>
  <si>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</si>
  <si>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</si>
  <si>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</si>
  <si>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</si>
  <si>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</si>
  <si>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</si>
  <si>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</si>
  <si>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</si>
  <si>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</si>
  <si>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</si>
  <si>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</si>
  <si>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</si>
  <si>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</si>
  <si>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</si>
  <si>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</si>
  <si>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</si>
  <si>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</si>
  <si>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</si>
  <si>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</si>
  <si>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</si>
  <si>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</si>
  <si>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</si>
  <si>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</si>
  <si>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</si>
  <si>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</si>
  <si>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</si>
  <si>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</si>
  <si>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</si>
  <si>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</si>
  <si>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</si>
  <si>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</si>
  <si>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</si>
  <si>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</si>
  <si>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</si>
  <si>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</si>
  <si>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</si>
  <si>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</si>
  <si>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</si>
  <si>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</si>
  <si>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</si>
  <si>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</si>
  <si>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</si>
  <si>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</si>
  <si>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</si>
  <si>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</si>
  <si>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</si>
  <si>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</si>
  <si>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</si>
  <si>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</si>
  <si>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</si>
  <si>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</si>
  <si>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</si>
  <si>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</si>
  <si>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</si>
  <si>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</si>
  <si>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</si>
  <si>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</si>
  <si>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</si>
  <si>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</si>
  <si>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</si>
  <si>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</si>
  <si>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</si>
  <si>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</si>
  <si>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</si>
  <si>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</si>
  <si>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</si>
  <si>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</si>
  <si>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</si>
  <si>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</si>
  <si>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</si>
  <si>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</si>
  <si>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</si>
  <si>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</si>
  <si>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</si>
  <si>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</si>
  <si>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</si>
  <si>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</si>
  <si>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</si>
  <si>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</si>
  <si>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</si>
  <si>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</si>
  <si>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</si>
  <si>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</si>
  <si>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</si>
  <si>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</si>
  <si>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</si>
  <si>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</si>
  <si>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</si>
  <si>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</si>
  <si>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</si>
  <si>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</si>
  <si>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</si>
  <si>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</si>
  <si>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</si>
  <si>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</si>
  <si>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</si>
  <si>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</si>
  <si>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</si>
  <si>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</si>
  <si>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</si>
  <si>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</si>
  <si>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</si>
  <si>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</si>
  <si>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</si>
  <si>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</si>
  <si>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</si>
  <si>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</si>
  <si>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</si>
  <si>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</si>
  <si>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</si>
  <si>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</si>
  <si>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</si>
  <si>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</si>
  <si>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</si>
  <si>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</si>
  <si>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</si>
  <si>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</si>
  <si>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</si>
  <si>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</si>
  <si>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</si>
  <si>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</si>
  <si>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</si>
  <si>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</si>
  <si>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</si>
  <si>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</si>
  <si>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</si>
  <si>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</si>
  <si>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</si>
  <si>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</si>
  <si>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</si>
  <si>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</si>
  <si>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</si>
  <si>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</si>
  <si>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</si>
  <si>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</si>
  <si>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</si>
  <si>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</si>
  <si>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</si>
  <si>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</si>
  <si>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</si>
  <si>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</si>
  <si>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</si>
  <si>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</si>
  <si>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</si>
  <si>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</si>
  <si>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</si>
  <si>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</si>
  <si>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</si>
  <si>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</si>
  <si>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</si>
  <si>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</si>
  <si>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</si>
  <si>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</si>
  <si>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</si>
  <si>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</si>
  <si>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</si>
  <si>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</si>
  <si>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</si>
  <si>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</si>
  <si>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</si>
  <si>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</si>
  <si>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</si>
  <si>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</si>
  <si>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</si>
  <si>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</si>
  <si>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</si>
  <si>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</si>
  <si>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</si>
  <si>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</si>
  <si>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</si>
  <si>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</si>
  <si>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</si>
  <si>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</si>
  <si>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</si>
  <si>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</si>
  <si>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</si>
  <si>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</si>
  <si>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</si>
  <si>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</si>
  <si>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</si>
  <si>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</si>
  <si>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</si>
  <si>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</si>
  <si>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</si>
  <si>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</si>
  <si>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</si>
  <si>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</si>
  <si>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</si>
  <si>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</si>
  <si>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</si>
  <si>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</si>
  <si>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</si>
  <si>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</si>
  <si>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</si>
  <si>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</si>
  <si>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</si>
  <si>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</si>
  <si>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</si>
  <si>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</si>
  <si>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</si>
  <si>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</si>
  <si>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</si>
  <si>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</si>
  <si>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</si>
  <si>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</si>
  <si>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</si>
  <si>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</si>
  <si>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</si>
  <si>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</si>
  <si>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</si>
  <si>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</si>
  <si>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</si>
  <si>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</si>
  <si>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</si>
  <si>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</si>
  <si>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</si>
  <si>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</si>
  <si>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</si>
  <si>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</si>
  <si>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</si>
  <si>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</si>
  <si>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</si>
  <si>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</si>
  <si>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</si>
  <si>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</si>
  <si>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</si>
  <si>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</si>
  <si>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</si>
  <si>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</si>
  <si>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</si>
  <si>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</si>
  <si>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</si>
  <si>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</si>
  <si>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</si>
  <si>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</si>
  <si>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</si>
  <si>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</si>
  <si>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</si>
  <si>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</si>
  <si>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</si>
  <si>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</si>
  <si>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</si>
  <si>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</si>
  <si>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</si>
  <si>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</si>
  <si>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</si>
  <si>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</si>
  <si>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</si>
  <si>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</si>
  <si>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</si>
  <si>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</si>
  <si>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</si>
  <si>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</si>
  <si>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</si>
  <si>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</si>
  <si>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</si>
  <si>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</si>
  <si>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</si>
  <si>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</si>
  <si>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</si>
  <si>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</si>
  <si>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</si>
  <si>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</si>
  <si>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</si>
  <si>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</si>
  <si>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</si>
  <si>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</si>
  <si>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</si>
  <si>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</si>
  <si>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</si>
  <si>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</si>
  <si>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</si>
  <si>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</si>
  <si>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</si>
  <si>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</si>
  <si>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</si>
  <si>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</si>
  <si>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</si>
  <si>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</si>
  <si>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</si>
  <si>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</si>
  <si>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</si>
  <si>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</si>
  <si>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</si>
  <si>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</si>
  <si>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</si>
  <si>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</si>
  <si>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</si>
  <si>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</si>
  <si>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</si>
  <si>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</si>
  <si>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</si>
  <si>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</si>
  <si>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</si>
  <si>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</si>
  <si>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</si>
  <si>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</si>
  <si>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</si>
  <si>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</si>
  <si>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</si>
  <si>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</si>
  <si>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</si>
  <si>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</si>
  <si>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</si>
  <si>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</si>
  <si>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</si>
  <si>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</si>
  <si>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</si>
  <si>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</si>
  <si>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</si>
  <si>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</si>
  <si>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</si>
  <si>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</si>
  <si>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</si>
  <si>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</si>
  <si>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</si>
  <si>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</si>
  <si>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</si>
  <si>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</si>
  <si>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</si>
  <si>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</si>
  <si>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</si>
  <si>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</si>
  <si>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</si>
  <si>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</si>
  <si>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</si>
  <si>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</si>
  <si>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</si>
  <si>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</si>
  <si>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</si>
  <si>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</si>
  <si>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</si>
  <si>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</si>
  <si>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</si>
  <si>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</si>
  <si>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</si>
  <si>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</si>
  <si>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</si>
  <si>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</si>
  <si>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</si>
  <si>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</si>
  <si>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</si>
  <si>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</si>
  <si>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</si>
  <si>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</si>
  <si>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</si>
  <si>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</si>
  <si>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</si>
  <si>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</si>
  <si>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</si>
  <si>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</si>
  <si>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</si>
  <si>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</si>
  <si>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</si>
  <si>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</si>
  <si>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</si>
  <si>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</si>
  <si>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</si>
  <si>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</si>
  <si>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</si>
  <si>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</si>
  <si>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</si>
  <si>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</si>
  <si>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</si>
  <si>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</si>
  <si>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</si>
  <si>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</si>
  <si>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</si>
  <si>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</si>
  <si>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</si>
  <si>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</si>
  <si>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</si>
  <si>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</si>
  <si>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</si>
  <si>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</si>
  <si>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</si>
  <si>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</si>
  <si>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</si>
  <si>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</si>
  <si>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</si>
  <si>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</si>
  <si>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</si>
  <si>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</si>
  <si>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</si>
  <si>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</si>
  <si>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</si>
  <si>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</si>
  <si>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</si>
  <si>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</si>
  <si>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</si>
  <si>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</si>
  <si>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</si>
  <si>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</si>
  <si>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</si>
  <si>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</si>
  <si>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</si>
  <si>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</si>
  <si>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</si>
  <si>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</si>
  <si>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</si>
  <si>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</si>
  <si>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</si>
  <si>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</si>
  <si>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</si>
  <si>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</si>
  <si>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</si>
  <si>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</si>
  <si>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</si>
  <si>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</si>
  <si>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</si>
  <si>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</si>
  <si>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</si>
  <si>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</si>
  <si>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</si>
  <si>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</si>
  <si>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</si>
  <si>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</si>
  <si>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</si>
  <si>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</si>
  <si>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</si>
  <si>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</si>
  <si>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</si>
  <si>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</si>
  <si>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</si>
  <si>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</si>
  <si>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</si>
  <si>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</si>
  <si>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</si>
  <si>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</si>
  <si>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</si>
  <si>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</si>
  <si>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</si>
  <si>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</si>
  <si>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</si>
  <si>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</si>
  <si>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</si>
  <si>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</si>
  <si>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</si>
  <si>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</si>
  <si>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</si>
  <si>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</si>
  <si>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</si>
  <si>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</si>
  <si>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</si>
  <si>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</si>
  <si>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</si>
  <si>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</si>
  <si>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</si>
  <si>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</si>
  <si>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</si>
  <si>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</si>
  <si>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</si>
  <si>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</si>
  <si>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</si>
  <si>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</si>
  <si>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</si>
  <si>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</si>
  <si>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</si>
  <si>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</si>
  <si>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</si>
  <si>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</si>
  <si>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</si>
  <si>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</si>
  <si>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</si>
  <si>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</si>
  <si>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</si>
  <si>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</si>
  <si>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</si>
  <si>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</si>
  <si>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</si>
  <si>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</si>
  <si>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</si>
  <si>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</si>
  <si>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</si>
  <si>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</si>
  <si>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</si>
  <si>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</si>
  <si>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</si>
  <si>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</si>
  <si>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</si>
  <si>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</si>
  <si>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</si>
  <si>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</si>
  <si>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</si>
  <si>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</si>
  <si>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</si>
  <si>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</si>
  <si>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</si>
  <si>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</si>
  <si>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</si>
  <si>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</si>
  <si>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</si>
  <si>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</si>
  <si>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</si>
  <si>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</si>
  <si>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</si>
  <si>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</si>
  <si>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</si>
  <si>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</si>
  <si>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</si>
  <si>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</si>
  <si>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</si>
  <si>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</si>
  <si>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</si>
  <si>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</si>
  <si>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</si>
  <si>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</si>
  <si>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</si>
  <si>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</si>
  <si>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</si>
  <si>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</si>
  <si>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</si>
  <si>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</si>
  <si>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</si>
  <si>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</si>
  <si>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</si>
  <si>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</si>
  <si>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</si>
  <si>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</si>
  <si>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</si>
  <si>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</si>
  <si>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</si>
  <si>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</si>
  <si>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</si>
  <si>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</si>
  <si>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</si>
  <si>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</si>
  <si>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</si>
  <si>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</si>
  <si>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</si>
  <si>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</si>
  <si>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</si>
  <si>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</si>
  <si>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</si>
  <si>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</si>
  <si>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</si>
  <si>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</si>
  <si>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</si>
  <si>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</si>
  <si>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</si>
  <si>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</si>
  <si>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</si>
  <si>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</si>
  <si>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</si>
  <si>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</si>
  <si>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</si>
  <si>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</si>
  <si>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</si>
  <si>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</si>
  <si>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</si>
  <si>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</si>
  <si>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</si>
  <si>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</si>
  <si>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</si>
  <si>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</si>
  <si>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</si>
  <si>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</si>
  <si>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</si>
  <si>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</si>
  <si>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</si>
  <si>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</si>
  <si>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</si>
  <si>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</si>
  <si>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</si>
  <si>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</si>
  <si>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</si>
  <si>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</si>
  <si>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</si>
  <si>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</si>
  <si>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</si>
  <si>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</si>
  <si>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</si>
  <si>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</si>
  <si>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</si>
  <si>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</si>
  <si>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</si>
  <si>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</si>
  <si>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</si>
  <si>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</si>
  <si>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</si>
  <si>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</si>
  <si>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</si>
  <si>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</si>
  <si>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</si>
  <si>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</si>
  <si>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</si>
  <si>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</si>
  <si>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</si>
  <si>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</si>
  <si>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</si>
  <si>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</si>
  <si>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</si>
  <si>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</si>
  <si>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</si>
  <si>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</si>
  <si>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</si>
  <si>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</si>
  <si>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</si>
  <si>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</si>
  <si>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</si>
  <si>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</si>
  <si>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</si>
  <si>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</si>
  <si>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</si>
  <si>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</si>
  <si>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</si>
  <si>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</si>
  <si>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</si>
  <si>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</si>
  <si>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</si>
  <si>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</si>
  <si>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</si>
  <si>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</si>
  <si>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</si>
  <si>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</si>
  <si>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</si>
  <si>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</si>
  <si>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</si>
  <si>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</si>
  <si>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</si>
  <si>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</si>
  <si>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</si>
  <si>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</si>
  <si>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</si>
  <si>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</si>
  <si>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</si>
  <si>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</si>
  <si>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</si>
  <si>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</si>
  <si>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</si>
  <si>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</si>
  <si>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</si>
  <si>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</si>
  <si>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</si>
  <si>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</si>
  <si>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</si>
  <si>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</si>
  <si>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</si>
  <si>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</si>
  <si>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</si>
  <si>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</si>
  <si>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</si>
  <si>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</si>
  <si>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</si>
  <si>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</si>
  <si>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</si>
  <si>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</si>
  <si>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</si>
  <si>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</si>
  <si>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</si>
  <si>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</si>
  <si>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</si>
  <si>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</si>
  <si>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</si>
  <si>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</si>
  <si>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</si>
  <si>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</si>
  <si>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</si>
  <si>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</si>
  <si>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</si>
  <si>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</si>
  <si>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</si>
  <si>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</si>
  <si>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</si>
  <si>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</si>
  <si>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</si>
  <si>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</si>
  <si>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</si>
  <si>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</si>
  <si>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</si>
  <si>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</si>
  <si>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</si>
  <si>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</si>
  <si>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</si>
  <si>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</si>
  <si>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</si>
  <si>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</si>
  <si>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</si>
  <si>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</si>
  <si>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</si>
  <si>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</si>
  <si>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</si>
  <si>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</si>
  <si>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</si>
  <si>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</si>
  <si>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</si>
  <si>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</si>
  <si>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</si>
  <si>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</si>
  <si>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</si>
  <si>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</si>
  <si>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</si>
  <si>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</si>
  <si>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</si>
  <si>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</si>
  <si>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</si>
  <si>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</si>
  <si>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</si>
  <si>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</si>
  <si>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</si>
  <si>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</si>
  <si>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</si>
  <si>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</si>
  <si>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</si>
  <si>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</si>
  <si>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</si>
  <si>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</si>
  <si>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</si>
  <si>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</si>
  <si>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</si>
  <si>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</si>
  <si>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</si>
  <si>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</si>
  <si>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</si>
  <si>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</si>
  <si>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</si>
  <si>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</si>
  <si>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</si>
  <si>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</si>
  <si>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</si>
  <si>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</si>
  <si>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</si>
  <si>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</si>
  <si>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</si>
  <si>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</si>
  <si>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</si>
  <si>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</si>
  <si>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</si>
  <si>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</si>
  <si>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</si>
  <si>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</si>
  <si>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</si>
  <si>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</si>
  <si>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</si>
  <si>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</si>
  <si>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</si>
  <si>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</si>
  <si>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</si>
  <si>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</si>
  <si>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</si>
  <si>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</si>
  <si>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</si>
  <si>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</si>
  <si>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</si>
  <si>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</si>
  <si>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</si>
  <si>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</si>
  <si>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</si>
  <si>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</si>
  <si>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</si>
  <si>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</si>
  <si>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</si>
  <si>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</si>
  <si>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</si>
  <si>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</si>
  <si>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</si>
  <si>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</si>
  <si>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</si>
  <si>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</si>
  <si>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</si>
  <si>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</si>
  <si>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</si>
  <si>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</si>
  <si>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</si>
  <si>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</si>
  <si>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</si>
  <si>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</si>
  <si>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</si>
  <si>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</si>
  <si>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</si>
  <si>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</si>
  <si>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</si>
  <si>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</si>
  <si>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</si>
  <si>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</si>
  <si>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</si>
  <si>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</si>
  <si>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</si>
  <si>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</si>
  <si>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</si>
  <si>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</si>
  <si>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</si>
  <si>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</si>
  <si>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</si>
  <si>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</si>
  <si>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</si>
  <si>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</si>
  <si>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</si>
  <si>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</si>
  <si>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</si>
  <si>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</si>
  <si>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</si>
  <si>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</si>
  <si>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</si>
  <si>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</si>
  <si>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</si>
  <si>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</si>
  <si>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</si>
  <si>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</si>
  <si>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</si>
  <si>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</si>
  <si>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</si>
  <si>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</si>
  <si>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</si>
  <si>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</si>
  <si>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</si>
  <si>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</si>
  <si>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</si>
  <si>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</si>
  <si>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</si>
  <si>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</si>
  <si>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</si>
  <si>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</si>
  <si>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</si>
  <si>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</si>
  <si>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</si>
  <si>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</si>
  <si>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</si>
  <si>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</si>
  <si>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</si>
  <si>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</si>
  <si>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</si>
  <si>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</si>
  <si>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</si>
  <si>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</si>
  <si>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</si>
  <si>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</si>
  <si>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</si>
  <si>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</si>
  <si>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</si>
  <si>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</si>
  <si>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</si>
  <si>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</si>
  <si>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</si>
  <si>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</si>
  <si>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</si>
  <si>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</si>
  <si>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</si>
  <si>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</si>
  <si>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</si>
  <si>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</si>
  <si>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</si>
  <si>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</si>
  <si>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</si>
  <si>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</si>
  <si>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</si>
  <si>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</si>
  <si>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</si>
  <si>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</si>
  <si>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</si>
  <si>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</si>
  <si>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</si>
  <si>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</si>
  <si>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</si>
  <si>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</si>
  <si>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</si>
  <si>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</si>
  <si>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</si>
  <si>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</si>
  <si>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</si>
  <si>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</si>
  <si>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</si>
  <si>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</si>
  <si>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</si>
  <si>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</si>
  <si>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</si>
  <si>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</si>
  <si>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</si>
  <si>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</si>
  <si>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</si>
  <si>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</si>
  <si>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</si>
  <si>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</si>
  <si>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</si>
  <si>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</si>
  <si>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</si>
  <si>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</si>
  <si>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</si>
  <si>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</si>
  <si>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</si>
  <si>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</si>
  <si>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</si>
  <si>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</si>
  <si>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</si>
  <si>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</si>
  <si>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</si>
  <si>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</si>
  <si>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</si>
  <si>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</si>
  <si>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</si>
  <si>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</si>
  <si>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</si>
  <si>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</si>
  <si>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</si>
  <si>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</si>
  <si>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</si>
  <si>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</si>
  <si>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</si>
  <si>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</si>
  <si>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</si>
  <si>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</si>
  <si>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</si>
  <si>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</si>
  <si>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</si>
  <si>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</si>
  <si>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</si>
  <si>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</si>
  <si>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</si>
  <si>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</si>
  <si>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</si>
  <si>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</si>
  <si>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</si>
  <si>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</si>
  <si>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</si>
  <si>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</si>
  <si>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</si>
  <si>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</si>
  <si>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</si>
  <si>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</si>
  <si>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</si>
  <si>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</si>
  <si>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</si>
  <si>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</si>
  <si>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</si>
  <si>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</si>
  <si>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</si>
  <si>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</si>
  <si>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</si>
  <si>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</si>
  <si>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</si>
  <si>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</si>
  <si>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</si>
  <si>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</si>
  <si>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</si>
  <si>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</si>
  <si>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</si>
  <si>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</si>
  <si>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</si>
  <si>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</si>
  <si>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</si>
  <si>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</si>
  <si>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</si>
  <si>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</si>
  <si>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</si>
  <si>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</si>
  <si>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</si>
  <si>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</si>
  <si>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</si>
  <si>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</si>
  <si>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</si>
  <si>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</si>
  <si>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</si>
  <si>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</si>
  <si>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</si>
  <si>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</si>
  <si>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</si>
  <si>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</si>
  <si>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</si>
  <si>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</si>
  <si>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</si>
  <si>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</si>
  <si>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</si>
  <si>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</si>
  <si>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</si>
  <si>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</si>
  <si>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</si>
  <si>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</si>
  <si>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</si>
  <si>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</si>
  <si>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</si>
  <si>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</si>
  <si>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</si>
  <si>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</si>
  <si>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</si>
  <si>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</si>
  <si>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</si>
  <si>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</si>
  <si>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</si>
  <si>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</si>
  <si>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</si>
  <si>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</si>
  <si>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</si>
  <si>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</si>
  <si>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</si>
  <si>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</si>
  <si>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</si>
  <si>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</si>
  <si>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</si>
  <si>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</si>
  <si>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</si>
  <si>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</si>
  <si>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</si>
  <si>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</si>
  <si>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</si>
  <si>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</si>
  <si>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</si>
  <si>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</si>
  <si>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</si>
  <si>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</si>
  <si>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</si>
  <si>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</si>
  <si>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</si>
  <si>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</si>
  <si>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</si>
  <si>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</si>
  <si>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</si>
  <si>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</si>
  <si>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</si>
  <si>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</si>
  <si>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</si>
  <si>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</si>
  <si>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</si>
  <si>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</si>
  <si>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</si>
  <si>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</si>
  <si>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</si>
  <si>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</si>
  <si>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</si>
  <si>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</si>
  <si>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</si>
  <si>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</si>
  <si>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</si>
  <si>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</si>
  <si>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</si>
  <si>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</si>
  <si>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</si>
  <si>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</si>
  <si>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</si>
  <si>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</si>
  <si>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</si>
  <si>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</si>
  <si>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</si>
  <si>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</si>
  <si>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</si>
  <si>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</si>
  <si>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</si>
  <si>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</si>
  <si>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</si>
  <si>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</si>
  <si>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</si>
  <si>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</si>
  <si>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</si>
  <si>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</si>
  <si>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</si>
  <si>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</si>
  <si>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</si>
  <si>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</si>
  <si>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</si>
  <si>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</si>
  <si>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</si>
  <si>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</si>
  <si>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</si>
  <si>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</si>
  <si>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</si>
  <si>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</si>
  <si>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</si>
  <si>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</si>
  <si>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</si>
  <si>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</si>
  <si>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</si>
  <si>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</si>
  <si>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</si>
  <si>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</si>
  <si>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</si>
  <si>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</si>
  <si>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</si>
  <si>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</si>
  <si>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</si>
  <si>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</si>
  <si>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</si>
  <si>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</si>
  <si>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</si>
  <si>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</si>
  <si>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</si>
  <si>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</si>
  <si>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</si>
  <si>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</si>
  <si>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</si>
  <si>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</si>
  <si>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</si>
  <si>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</si>
  <si>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</si>
  <si>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</si>
  <si>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</si>
  <si>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</si>
  <si>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</si>
  <si>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</si>
  <si>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</si>
  <si>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</si>
  <si>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</si>
  <si>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</si>
  <si>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</si>
  <si>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</si>
  <si>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</si>
  <si>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</si>
  <si>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</si>
  <si>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</si>
  <si>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</si>
  <si>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</si>
  <si>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</si>
  <si>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</si>
  <si>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</si>
  <si>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</si>
  <si>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</si>
  <si>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</si>
  <si>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</si>
  <si>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</si>
  <si>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</si>
  <si>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</si>
  <si>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</si>
  <si>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</si>
  <si>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</si>
  <si>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</si>
  <si>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</si>
  <si>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</si>
  <si>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</si>
  <si>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</si>
  <si>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</si>
  <si>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</si>
  <si>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</si>
  <si>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</si>
  <si>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</si>
  <si>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</si>
  <si>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</si>
  <si>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</si>
  <si>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</si>
  <si>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</si>
  <si>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</si>
  <si>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</si>
  <si>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</si>
  <si>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</si>
  <si>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</si>
  <si>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</si>
  <si>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</si>
  <si>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Бачо Киро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</si>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</sst>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4" borderId="0" xfId="60" applyFill="1">
      <alignment/>
      <protection/>
    </xf>
    <xf numFmtId="0" fontId="231" fillId="74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" fillId="73" borderId="12" xfId="58" applyNumberFormat="1" applyFont="1" applyFill="1" applyBorder="1" applyProtection="1">
      <alignment/>
      <protection locked="0"/>
    </xf>
    <xf numFmtId="49" fontId="250" fillId="75" borderId="13" xfId="58" applyNumberFormat="1" applyFont="1" applyFill="1" applyBorder="1" applyAlignment="1" applyProtection="1">
      <alignment horizontal="center" vertical="center" wrapText="1"/>
      <protection/>
    </xf>
    <xf numFmtId="0" fontId="277" fillId="39" borderId="26" xfId="58" applyFont="1" applyFill="1" applyBorder="1" applyAlignment="1">
      <alignment vertical="center"/>
      <protection/>
    </xf>
    <xf numFmtId="1" fontId="250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Бачо Киро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1675</v>
      </c>
      <c r="J51" s="1102">
        <f>+IF(OR($P$2=98,$P$2=42,$P$2=96,$P$2=97),$Q51,0)</f>
        <v>11799</v>
      </c>
      <c r="K51" s="1095"/>
      <c r="L51" s="1102">
        <f>+IF($P$2=33,$Q51,0)</f>
        <v>0</v>
      </c>
      <c r="M51" s="1095"/>
      <c r="N51" s="1132">
        <f>+ROUND(+G51+J51+L51,0)</f>
        <v>11799</v>
      </c>
      <c r="O51" s="1097"/>
      <c r="P51" s="1101">
        <f>+ROUND(OTCHET!E205-SUM(OTCHET!E217:E219)+OTCHET!E271+IF(+OR(OTCHET!$F$12=5500,OTCHET!$F$12=5600),0,+OTCHET!E297),0)</f>
        <v>1675</v>
      </c>
      <c r="Q51" s="1102">
        <f>+ROUND(OTCHET!L205-SUM(OTCHET!L217:L219)+OTCHET!L271+IF(+OR(OTCHET!$F$12=5500,OTCHET!$F$12=5600),0,+OTCHET!L297),0)</f>
        <v>11799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1675</v>
      </c>
      <c r="J56" s="1208">
        <f>+ROUND(+SUM(J51:J55),0)</f>
        <v>11799</v>
      </c>
      <c r="K56" s="1095"/>
      <c r="L56" s="1208">
        <f>+ROUND(+SUM(L51:L55),0)</f>
        <v>0</v>
      </c>
      <c r="M56" s="1095"/>
      <c r="N56" s="1209">
        <f>+ROUND(+SUM(N51:N55),0)</f>
        <v>11799</v>
      </c>
      <c r="O56" s="1097"/>
      <c r="P56" s="1207">
        <f>+ROUND(+SUM(P51:P55),0)</f>
        <v>1675</v>
      </c>
      <c r="Q56" s="1208">
        <f>+ROUND(+SUM(Q51:Q55),0)</f>
        <v>11799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1700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1700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1700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1700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3375</v>
      </c>
      <c r="J77" s="1233">
        <f>+ROUND(J56+J63+J67+J71+J75,0)</f>
        <v>11799</v>
      </c>
      <c r="K77" s="1095"/>
      <c r="L77" s="1233">
        <f>+ROUND(L56+L63+L67+L71+L75,0)</f>
        <v>0</v>
      </c>
      <c r="M77" s="1095"/>
      <c r="N77" s="1234">
        <f>+ROUND(N56+N63+N67+N71+N75,0)</f>
        <v>11799</v>
      </c>
      <c r="O77" s="1097"/>
      <c r="P77" s="1231">
        <f>+ROUND(P56+P63+P67+P71+P75,0)</f>
        <v>3375</v>
      </c>
      <c r="Q77" s="1232">
        <f>+ROUND(Q56+Q63+Q67+Q71+Q75,0)</f>
        <v>11799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1700</v>
      </c>
      <c r="J79" s="1108">
        <f>+IF(OR($P$2=98,$P$2=42,$P$2=96,$P$2=97),$Q79,0)</f>
        <v>16899</v>
      </c>
      <c r="K79" s="1095"/>
      <c r="L79" s="1108">
        <f>+IF($P$2=33,$Q79,0)</f>
        <v>0</v>
      </c>
      <c r="M79" s="1095"/>
      <c r="N79" s="1109">
        <f>+ROUND(+G79+J79+L79,0)</f>
        <v>16899</v>
      </c>
      <c r="O79" s="1097"/>
      <c r="P79" s="1107">
        <f>+ROUND(OTCHET!E419,0)</f>
        <v>1700</v>
      </c>
      <c r="Q79" s="1108">
        <f>+ROUND(OTCHET!L419,0)</f>
        <v>16899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1700</v>
      </c>
      <c r="J81" s="1242">
        <f>+ROUND(J79+J80,0)</f>
        <v>16899</v>
      </c>
      <c r="K81" s="1095"/>
      <c r="L81" s="1242">
        <f>+ROUND(L79+L80,0)</f>
        <v>0</v>
      </c>
      <c r="M81" s="1095"/>
      <c r="N81" s="1243">
        <f>+ROUND(N79+N80,0)</f>
        <v>16899</v>
      </c>
      <c r="O81" s="1097"/>
      <c r="P81" s="1241">
        <f>+ROUND(P79+P80,0)</f>
        <v>1700</v>
      </c>
      <c r="Q81" s="1242">
        <f>+ROUND(Q79+Q80,0)</f>
        <v>16899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-1675</v>
      </c>
      <c r="J83" s="1255">
        <f>+ROUND(J48,0)-ROUND(J77,0)+ROUND(J81,0)</f>
        <v>5100</v>
      </c>
      <c r="K83" s="1095"/>
      <c r="L83" s="1255">
        <f>+ROUND(L48,0)-ROUND(L77,0)+ROUND(L81,0)</f>
        <v>0</v>
      </c>
      <c r="M83" s="1095"/>
      <c r="N83" s="1256">
        <f>+ROUND(N48,0)-ROUND(N77,0)+ROUND(N81,0)</f>
        <v>5100</v>
      </c>
      <c r="O83" s="1257"/>
      <c r="P83" s="1254">
        <f>+ROUND(P48,0)-ROUND(P77,0)+ROUND(P81,0)</f>
        <v>-1675</v>
      </c>
      <c r="Q83" s="1255">
        <f>+ROUND(Q48,0)-ROUND(Q77,0)+ROUND(Q81,0)</f>
        <v>5100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1675</v>
      </c>
      <c r="J84" s="1263">
        <f>+ROUND(J101,0)+ROUND(J120,0)+ROUND(J127,0)-ROUND(J132,0)</f>
        <v>-5100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-5100</v>
      </c>
      <c r="O84" s="1257"/>
      <c r="P84" s="1262">
        <f>+ROUND(P101,0)+ROUND(P120,0)+ROUND(P127,0)-ROUND(P132,0)</f>
        <v>1675</v>
      </c>
      <c r="Q84" s="1263">
        <f>+ROUND(Q101,0)+ROUND(Q120,0)+ROUND(Q127,0)-ROUND(Q132,0)</f>
        <v>-5100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1675</v>
      </c>
      <c r="J123" s="1120">
        <f>+IF(OR($P$2=98,$P$2=42,$P$2=96,$P$2=97),$Q123,0)</f>
        <v>-5100</v>
      </c>
      <c r="K123" s="1095"/>
      <c r="L123" s="1120">
        <f>+IF($P$2=33,$Q123,0)</f>
        <v>0</v>
      </c>
      <c r="M123" s="1095"/>
      <c r="N123" s="1121">
        <f>+ROUND(+G123+J123+L123,0)</f>
        <v>-5100</v>
      </c>
      <c r="O123" s="1097"/>
      <c r="P123" s="1119">
        <f>+ROUND(OTCHET!E524,0)</f>
        <v>1675</v>
      </c>
      <c r="Q123" s="1120">
        <f>+ROUND(OTCHET!L524,0)</f>
        <v>-5100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1675</v>
      </c>
      <c r="J127" s="1242">
        <f>+ROUND(+SUM(J122:J126),0)</f>
        <v>-5100</v>
      </c>
      <c r="K127" s="1095"/>
      <c r="L127" s="1242">
        <f>+ROUND(+SUM(L122:L126),0)</f>
        <v>0</v>
      </c>
      <c r="M127" s="1095"/>
      <c r="N127" s="1243">
        <f>+ROUND(+SUM(N122:N126),0)</f>
        <v>-5100</v>
      </c>
      <c r="O127" s="1097"/>
      <c r="P127" s="1241">
        <f>+ROUND(+SUM(P122:P126),0)</f>
        <v>1675</v>
      </c>
      <c r="Q127" s="1242">
        <f>+ROUND(+SUM(Q122:Q126),0)</f>
        <v>-5100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Бачо Киро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3375</v>
      </c>
      <c r="F38" s="847">
        <f>F39+F43+F44+F46+SUM(F48:F52)+F55</f>
        <v>11799</v>
      </c>
      <c r="G38" s="848">
        <f>G39+G43+G44+G46+SUM(G48:G52)+G55</f>
        <v>11799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1675</v>
      </c>
      <c r="F43" s="815">
        <f t="shared" si="1"/>
        <v>11799</v>
      </c>
      <c r="G43" s="816">
        <f>+OTCHET!I205+OTCHET!I223+OTCHET!I271</f>
        <v>11799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1700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1700</v>
      </c>
      <c r="F56" s="892">
        <f>+F57+F58+F62</f>
        <v>16899</v>
      </c>
      <c r="G56" s="893">
        <f>+G57+G58+G62</f>
        <v>16899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1700</v>
      </c>
      <c r="F58" s="901">
        <f t="shared" si="2"/>
        <v>16899</v>
      </c>
      <c r="G58" s="902">
        <f>+OTCHET!I383+OTCHET!I391+OTCHET!I396+OTCHET!I399+OTCHET!I402+OTCHET!I405+OTCHET!I406+OTCHET!I409+OTCHET!I422+OTCHET!I423+OTCHET!I424+OTCHET!I425+OTCHET!I426</f>
        <v>16899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-1675</v>
      </c>
      <c r="F64" s="927">
        <f>+F22-F38+F56-F63</f>
        <v>5100</v>
      </c>
      <c r="G64" s="928">
        <f>+G22-G38+G56-G63</f>
        <v>5100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1675</v>
      </c>
      <c r="F66" s="937">
        <f>SUM(+F68+F76+F77+F84+F85+F86+F89+F90+F91+F92+F93+F94+F95)</f>
        <v>-5100</v>
      </c>
      <c r="G66" s="938">
        <f>SUM(+G68+G76+G77+G84+G85+G86+G89+G90+G91+G92+G93+G94+G95)</f>
        <v>-5100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1675</v>
      </c>
      <c r="F86" s="905">
        <f>+F87+F88</f>
        <v>-5100</v>
      </c>
      <c r="G86" s="906">
        <f>+G87+G88</f>
        <v>-5100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1675</v>
      </c>
      <c r="F88" s="963">
        <f t="shared" si="5"/>
        <v>-5100</v>
      </c>
      <c r="G88" s="964">
        <f>+OTCHET!I521+OTCHET!I524+OTCHET!I544</f>
        <v>-5100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D4" sqref="D4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44469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Бачо Киро</v>
      </c>
      <c r="C176" s="1783"/>
      <c r="D176" s="1784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1675</v>
      </c>
      <c r="F205" s="274">
        <f t="shared" si="48"/>
        <v>1675</v>
      </c>
      <c r="G205" s="275">
        <f t="shared" si="48"/>
        <v>0</v>
      </c>
      <c r="H205" s="276">
        <f t="shared" si="48"/>
        <v>0</v>
      </c>
      <c r="I205" s="274">
        <f t="shared" si="48"/>
        <v>11799</v>
      </c>
      <c r="J205" s="275">
        <f t="shared" si="48"/>
        <v>0</v>
      </c>
      <c r="K205" s="276">
        <f t="shared" si="48"/>
        <v>0</v>
      </c>
      <c r="L205" s="310">
        <f t="shared" si="48"/>
        <v>11799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11799</v>
      </c>
      <c r="J212" s="322">
        <f t="shared" si="49"/>
        <v>0</v>
      </c>
      <c r="K212" s="323">
        <f t="shared" si="49"/>
        <v>0</v>
      </c>
      <c r="L212" s="320">
        <f t="shared" si="49"/>
        <v>11799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1675</v>
      </c>
      <c r="F222" s="288">
        <f t="shared" si="50"/>
        <v>1675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1700</v>
      </c>
      <c r="F276" s="274">
        <f t="shared" si="68"/>
        <v>1700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1700</v>
      </c>
      <c r="F277" s="282">
        <f t="shared" si="69"/>
        <v>1700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3375</v>
      </c>
      <c r="F301" s="396">
        <f t="shared" si="77"/>
        <v>3375</v>
      </c>
      <c r="G301" s="397">
        <f t="shared" si="77"/>
        <v>0</v>
      </c>
      <c r="H301" s="398">
        <f t="shared" si="77"/>
        <v>0</v>
      </c>
      <c r="I301" s="396">
        <f t="shared" si="77"/>
        <v>11799</v>
      </c>
      <c r="J301" s="397">
        <f t="shared" si="77"/>
        <v>0</v>
      </c>
      <c r="K301" s="398">
        <f t="shared" si="77"/>
        <v>0</v>
      </c>
      <c r="L301" s="395">
        <f t="shared" si="77"/>
        <v>11799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Бачо Киро</v>
      </c>
      <c r="C350" s="1783"/>
      <c r="D350" s="1784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1700</v>
      </c>
      <c r="F399" s="459">
        <f t="shared" si="89"/>
        <v>1700</v>
      </c>
      <c r="G399" s="473">
        <f t="shared" si="89"/>
        <v>0</v>
      </c>
      <c r="H399" s="445">
        <f>SUM(H400:H401)</f>
        <v>0</v>
      </c>
      <c r="I399" s="459">
        <f t="shared" si="89"/>
        <v>16899</v>
      </c>
      <c r="J399" s="444">
        <f t="shared" si="89"/>
        <v>0</v>
      </c>
      <c r="K399" s="445">
        <f>SUM(K400:K401)</f>
        <v>0</v>
      </c>
      <c r="L399" s="1378">
        <f t="shared" si="89"/>
        <v>16899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1700</v>
      </c>
      <c r="F400" s="158">
        <v>1700</v>
      </c>
      <c r="G400" s="159"/>
      <c r="H400" s="154">
        <v>0</v>
      </c>
      <c r="I400" s="158">
        <v>16899</v>
      </c>
      <c r="J400" s="159"/>
      <c r="K400" s="154">
        <v>0</v>
      </c>
      <c r="L400" s="1379">
        <f>I400+J400+K400</f>
        <v>16899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1700</v>
      </c>
      <c r="F419" s="495">
        <f t="shared" si="95"/>
        <v>1700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16899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16899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Бачо Киро</v>
      </c>
      <c r="C435" s="1783"/>
      <c r="D435" s="1784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-1675</v>
      </c>
      <c r="F445" s="546">
        <f t="shared" si="99"/>
        <v>-1675</v>
      </c>
      <c r="G445" s="547">
        <f t="shared" si="99"/>
        <v>0</v>
      </c>
      <c r="H445" s="548">
        <f t="shared" si="99"/>
        <v>0</v>
      </c>
      <c r="I445" s="546">
        <f t="shared" si="99"/>
        <v>5100</v>
      </c>
      <c r="J445" s="547">
        <f t="shared" si="99"/>
        <v>0</v>
      </c>
      <c r="K445" s="548">
        <f t="shared" si="99"/>
        <v>0</v>
      </c>
      <c r="L445" s="549">
        <f t="shared" si="99"/>
        <v>5100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1675</v>
      </c>
      <c r="F446" s="553">
        <f t="shared" si="100"/>
        <v>1675</v>
      </c>
      <c r="G446" s="554">
        <f t="shared" si="100"/>
        <v>0</v>
      </c>
      <c r="H446" s="555">
        <f t="shared" si="100"/>
        <v>0</v>
      </c>
      <c r="I446" s="553">
        <f t="shared" si="100"/>
        <v>-5100</v>
      </c>
      <c r="J446" s="554">
        <f t="shared" si="100"/>
        <v>0</v>
      </c>
      <c r="K446" s="555">
        <f t="shared" si="100"/>
        <v>0</v>
      </c>
      <c r="L446" s="556">
        <f>+L597</f>
        <v>-5100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Бачо Киро</v>
      </c>
      <c r="C451" s="1783"/>
      <c r="D451" s="1784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1675</v>
      </c>
      <c r="F524" s="587">
        <f t="shared" si="120"/>
        <v>1675</v>
      </c>
      <c r="G524" s="580">
        <f t="shared" si="120"/>
        <v>0</v>
      </c>
      <c r="H524" s="581">
        <f>SUM(H525:H530)</f>
        <v>0</v>
      </c>
      <c r="I524" s="587">
        <f t="shared" si="120"/>
        <v>-5100</v>
      </c>
      <c r="J524" s="580">
        <f t="shared" si="120"/>
        <v>0</v>
      </c>
      <c r="K524" s="581">
        <f t="shared" si="120"/>
        <v>0</v>
      </c>
      <c r="L524" s="578">
        <f t="shared" si="120"/>
        <v>-5100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1675</v>
      </c>
      <c r="F527" s="158">
        <v>1675</v>
      </c>
      <c r="G527" s="159"/>
      <c r="H527" s="585">
        <v>0</v>
      </c>
      <c r="I527" s="158">
        <v>-5100</v>
      </c>
      <c r="J527" s="159"/>
      <c r="K527" s="585">
        <v>0</v>
      </c>
      <c r="L527" s="1387">
        <f t="shared" si="116"/>
        <v>-5100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1675</v>
      </c>
      <c r="F597" s="663">
        <f t="shared" si="133"/>
        <v>1675</v>
      </c>
      <c r="G597" s="664">
        <f t="shared" si="133"/>
        <v>0</v>
      </c>
      <c r="H597" s="665">
        <f t="shared" si="133"/>
        <v>0</v>
      </c>
      <c r="I597" s="663">
        <f t="shared" si="133"/>
        <v>-5100</v>
      </c>
      <c r="J597" s="664">
        <f t="shared" si="133"/>
        <v>0</v>
      </c>
      <c r="K597" s="666">
        <f t="shared" si="133"/>
        <v>0</v>
      </c>
      <c r="L597" s="662">
        <f t="shared" si="133"/>
        <v>-5100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2" t="str">
        <f>$B$9</f>
        <v>ОУ Бачо Киро</v>
      </c>
      <c r="C623" s="1783"/>
      <c r="D623" s="1784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47.25" thickBot="1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15" t="s">
        <v>735</v>
      </c>
      <c r="D637" s="181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813" t="s">
        <v>192</v>
      </c>
      <c r="D646" s="1814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11" t="s">
        <v>198</v>
      </c>
      <c r="D655" s="1812"/>
      <c r="E655" s="310">
        <f aca="true" t="shared" si="140" ref="E655:L655">SUM(E656:E672)</f>
        <v>1675</v>
      </c>
      <c r="F655" s="274">
        <f t="shared" si="140"/>
        <v>1675</v>
      </c>
      <c r="G655" s="275">
        <f t="shared" si="140"/>
        <v>0</v>
      </c>
      <c r="H655" s="276">
        <f t="shared" si="140"/>
        <v>0</v>
      </c>
      <c r="I655" s="274">
        <f t="shared" si="140"/>
        <v>11799</v>
      </c>
      <c r="J655" s="275">
        <f t="shared" si="140"/>
        <v>0</v>
      </c>
      <c r="K655" s="276">
        <f t="shared" si="140"/>
        <v>0</v>
      </c>
      <c r="L655" s="310">
        <f t="shared" si="140"/>
        <v>11799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>
        <v>11799</v>
      </c>
      <c r="J662" s="455"/>
      <c r="K662" s="1428"/>
      <c r="L662" s="320">
        <f t="shared" si="142"/>
        <v>11799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1675</v>
      </c>
      <c r="F672" s="173">
        <v>1675</v>
      </c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03" t="s">
        <v>246</v>
      </c>
      <c r="D726" s="1804"/>
      <c r="E726" s="310">
        <f aca="true" t="shared" si="163" ref="E726:L726">SUM(E727:E733)</f>
        <v>1700</v>
      </c>
      <c r="F726" s="274">
        <f t="shared" si="163"/>
        <v>1700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1700</v>
      </c>
      <c r="F727" s="152">
        <v>1700</v>
      </c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6.5" thickBot="1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3375</v>
      </c>
      <c r="F752" s="396">
        <f t="shared" si="169"/>
        <v>3375</v>
      </c>
      <c r="G752" s="397">
        <f t="shared" si="169"/>
        <v>0</v>
      </c>
      <c r="H752" s="398">
        <f t="shared" si="169"/>
        <v>0</v>
      </c>
      <c r="I752" s="396">
        <f t="shared" si="169"/>
        <v>11799</v>
      </c>
      <c r="J752" s="397">
        <f t="shared" si="169"/>
        <v>0</v>
      </c>
      <c r="K752" s="398">
        <f t="shared" si="169"/>
        <v>0</v>
      </c>
      <c r="L752" s="395">
        <f t="shared" si="169"/>
        <v>11799</v>
      </c>
      <c r="M752" s="12">
        <f t="shared" si="166"/>
        <v>1</v>
      </c>
      <c r="N752" s="73" t="str">
        <f>LEFT(C634,1)</f>
        <v>3</v>
      </c>
    </row>
    <row r="753" spans="2:13" ht="15.7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</c>
    </row>
    <row r="758" spans="2:13" ht="1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</c>
    </row>
    <row r="759" spans="2:13" ht="15">
      <c r="B759" s="1790" t="str">
        <f>$B$7</f>
        <v>ОТЧЕТНИ ДАННИ ПО ЕБК ЗА СМЕТКИТЕ ЗА СРЕДСТВАТА ОТ ЕВРОПЕЙСКИЯ СЪЮЗ - КСФ</v>
      </c>
      <c r="C759" s="1791"/>
      <c r="D759" s="179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</c>
    </row>
    <row r="760" spans="2:13" ht="15">
      <c r="B760" s="228"/>
      <c r="C760" s="391"/>
      <c r="D760" s="400"/>
      <c r="E760" s="406" t="s">
        <v>461</v>
      </c>
      <c r="F760" s="406" t="s">
        <v>825</v>
      </c>
      <c r="G760" s="237"/>
      <c r="H760" s="1362" t="s">
        <v>1242</v>
      </c>
      <c r="I760" s="1363"/>
      <c r="J760" s="1364"/>
      <c r="K760" s="237"/>
      <c r="L760" s="237"/>
      <c r="M760" s="7">
        <f>(IF($E890&lt;&gt;0,$M$2,IF($L890&lt;&gt;0,$M$2,"")))</f>
      </c>
    </row>
    <row r="761" spans="2:13" ht="17.25">
      <c r="B761" s="1782" t="str">
        <f>$B$9</f>
        <v>ОУ Бачо Киро</v>
      </c>
      <c r="C761" s="1783"/>
      <c r="D761" s="1784"/>
      <c r="E761" s="115">
        <f>$E$9</f>
        <v>44197</v>
      </c>
      <c r="F761" s="226">
        <f>$F$9</f>
        <v>44469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</c>
    </row>
    <row r="764" spans="2:13" ht="18">
      <c r="B764" s="1841" t="str">
        <f>$B$12</f>
        <v>Велико Търново</v>
      </c>
      <c r="C764" s="1842"/>
      <c r="D764" s="1843"/>
      <c r="E764" s="410" t="s">
        <v>880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</c>
    </row>
    <row r="766" spans="2:13" ht="18">
      <c r="B766" s="236"/>
      <c r="C766" s="237"/>
      <c r="D766" s="124" t="s">
        <v>881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</c>
    </row>
    <row r="767" spans="2:13" ht="15.7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</c>
    </row>
    <row r="768" spans="2:13" ht="17.25">
      <c r="B768" s="247"/>
      <c r="C768" s="248"/>
      <c r="D768" s="249" t="s">
        <v>704</v>
      </c>
      <c r="E768" s="1826" t="s">
        <v>2095</v>
      </c>
      <c r="F768" s="1827"/>
      <c r="G768" s="1827"/>
      <c r="H768" s="1828"/>
      <c r="I768" s="1835" t="s">
        <v>2096</v>
      </c>
      <c r="J768" s="1836"/>
      <c r="K768" s="1836"/>
      <c r="L768" s="1837"/>
      <c r="M768" s="7">
        <f>(IF($E890&lt;&gt;0,$M$2,IF($L890&lt;&gt;0,$M$2,"")))</f>
      </c>
    </row>
    <row r="769" spans="2:13" ht="47.25" thickBot="1">
      <c r="B769" s="250" t="s">
        <v>62</v>
      </c>
      <c r="C769" s="251" t="s">
        <v>463</v>
      </c>
      <c r="D769" s="252" t="s">
        <v>705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2" t="str">
        <f>$L$20</f>
        <v>ОТЧЕТ                                    ОБЩО</v>
      </c>
      <c r="M769" s="7">
        <f>(IF($E890&lt;&gt;0,$M$2,IF($L890&lt;&gt;0,$M$2,"")))</f>
      </c>
    </row>
    <row r="770" spans="2:13" ht="18">
      <c r="B770" s="258"/>
      <c r="C770" s="259"/>
      <c r="D770" s="260" t="s">
        <v>734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</c>
    </row>
    <row r="771" spans="2:13" ht="15">
      <c r="B771" s="1451"/>
      <c r="C771" s="1663" t="str">
        <f>VLOOKUP(D771,OP_LIST2,2,FALSE)</f>
        <v>98313</v>
      </c>
      <c r="D771" s="1665" t="s">
        <v>1226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</c>
    </row>
    <row r="772" spans="2:13" ht="15">
      <c r="B772" s="1664" t="s">
        <v>2094</v>
      </c>
      <c r="C772" s="1457">
        <f>VLOOKUP(D773,EBK_DEIN2,2,FALSE)</f>
        <v>8828</v>
      </c>
      <c r="D772" s="1666" t="str">
        <f>VLOOKUP(D771,OP_LIST3,3,FALSE)</f>
        <v>ПЕРИОД 2014-2020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</c>
    </row>
    <row r="773" spans="2:13" ht="15">
      <c r="B773" s="1450"/>
      <c r="C773" s="1582">
        <f>+C772</f>
        <v>8828</v>
      </c>
      <c r="D773" s="1452" t="s">
        <v>114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</c>
    </row>
    <row r="774" spans="2:13" ht="15">
      <c r="B774" s="1455"/>
      <c r="C774" s="1453"/>
      <c r="D774" s="1456" t="s">
        <v>706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</c>
    </row>
    <row r="775" spans="2:14" ht="15">
      <c r="B775" s="272">
        <v>100</v>
      </c>
      <c r="C775" s="1815" t="s">
        <v>735</v>
      </c>
      <c r="D775" s="181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736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737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811" t="s">
        <v>738</v>
      </c>
      <c r="D778" s="1812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739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740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">
      <c r="B784" s="272">
        <v>500</v>
      </c>
      <c r="C784" s="1813" t="s">
        <v>192</v>
      </c>
      <c r="D784" s="1814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899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">
      <c r="B790" s="291"/>
      <c r="C790" s="304">
        <v>588</v>
      </c>
      <c r="D790" s="305" t="s">
        <v>863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809" t="s">
        <v>197</v>
      </c>
      <c r="D792" s="1810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811" t="s">
        <v>198</v>
      </c>
      <c r="D793" s="1812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>
        <v>0</v>
      </c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900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805" t="s">
        <v>269</v>
      </c>
      <c r="D811" s="180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805" t="s">
        <v>713</v>
      </c>
      <c r="D815" s="180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805" t="s">
        <v>217</v>
      </c>
      <c r="D821" s="180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805" t="s">
        <v>219</v>
      </c>
      <c r="D824" s="180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807" t="s">
        <v>220</v>
      </c>
      <c r="D825" s="180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807" t="s">
        <v>221</v>
      </c>
      <c r="D826" s="180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807" t="s">
        <v>1651</v>
      </c>
      <c r="D827" s="180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805" t="s">
        <v>222</v>
      </c>
      <c r="D828" s="180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1943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2.2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2.2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1962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1993</v>
      </c>
      <c r="D837" s="147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707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1648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2048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805" t="s">
        <v>231</v>
      </c>
      <c r="D843" s="1806"/>
      <c r="E843" s="310">
        <f t="shared" si="189"/>
        <v>0</v>
      </c>
      <c r="F843" s="1469">
        <v>0</v>
      </c>
      <c r="G843" s="1470">
        <v>0</v>
      </c>
      <c r="H843" s="1471">
        <v>0</v>
      </c>
      <c r="I843" s="1469">
        <v>0</v>
      </c>
      <c r="J843" s="1470">
        <v>0</v>
      </c>
      <c r="K843" s="1471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805" t="s">
        <v>232</v>
      </c>
      <c r="D844" s="180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805" t="s">
        <v>233</v>
      </c>
      <c r="D845" s="1806"/>
      <c r="E845" s="310">
        <f t="shared" si="189"/>
        <v>0</v>
      </c>
      <c r="F845" s="1470">
        <v>0</v>
      </c>
      <c r="G845" s="1470">
        <v>0</v>
      </c>
      <c r="H845" s="1471">
        <v>0</v>
      </c>
      <c r="I845" s="1658">
        <v>0</v>
      </c>
      <c r="J845" s="1470">
        <v>0</v>
      </c>
      <c r="K845" s="1470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805" t="s">
        <v>234</v>
      </c>
      <c r="D846" s="180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805" t="s">
        <v>1652</v>
      </c>
      <c r="D853" s="180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805" t="s">
        <v>1649</v>
      </c>
      <c r="D857" s="180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805" t="s">
        <v>1650</v>
      </c>
      <c r="D858" s="180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807" t="s">
        <v>244</v>
      </c>
      <c r="D859" s="180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805" t="s">
        <v>270</v>
      </c>
      <c r="D860" s="180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803" t="s">
        <v>245</v>
      </c>
      <c r="D863" s="1804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803" t="s">
        <v>246</v>
      </c>
      <c r="D864" s="1804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803" t="s">
        <v>619</v>
      </c>
      <c r="D872" s="1804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803" t="s">
        <v>677</v>
      </c>
      <c r="D875" s="1804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805" t="s">
        <v>678</v>
      </c>
      <c r="D876" s="180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8" t="s">
        <v>904</v>
      </c>
      <c r="D881" s="1799"/>
      <c r="E881" s="310">
        <f>SUM(E882:E884)</f>
        <v>0</v>
      </c>
      <c r="F881" s="1469">
        <v>0</v>
      </c>
      <c r="G881" s="1469">
        <v>0</v>
      </c>
      <c r="H881" s="1469">
        <v>0</v>
      </c>
      <c r="I881" s="1469">
        <v>0</v>
      </c>
      <c r="J881" s="1469">
        <v>0</v>
      </c>
      <c r="K881" s="146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683</v>
      </c>
      <c r="E882" s="281">
        <f>F882+G882+H882</f>
        <v>0</v>
      </c>
      <c r="F882" s="1470">
        <v>0</v>
      </c>
      <c r="G882" s="1470">
        <v>0</v>
      </c>
      <c r="H882" s="1471">
        <v>0</v>
      </c>
      <c r="I882" s="1658">
        <v>0</v>
      </c>
      <c r="J882" s="1470">
        <v>0</v>
      </c>
      <c r="K882" s="147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684</v>
      </c>
      <c r="E883" s="314">
        <f>F883+G883+H883</f>
        <v>0</v>
      </c>
      <c r="F883" s="1470">
        <v>0</v>
      </c>
      <c r="G883" s="1470">
        <v>0</v>
      </c>
      <c r="H883" s="1471">
        <v>0</v>
      </c>
      <c r="I883" s="1658">
        <v>0</v>
      </c>
      <c r="J883" s="1470">
        <v>0</v>
      </c>
      <c r="K883" s="1470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685</v>
      </c>
      <c r="E884" s="377">
        <f>F884+G884+H884</f>
        <v>0</v>
      </c>
      <c r="F884" s="1470">
        <v>0</v>
      </c>
      <c r="G884" s="1470">
        <v>0</v>
      </c>
      <c r="H884" s="1471">
        <v>0</v>
      </c>
      <c r="I884" s="1658">
        <v>0</v>
      </c>
      <c r="J884" s="1470">
        <v>0</v>
      </c>
      <c r="K884" s="1470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82"/>
      <c r="C885" s="1800" t="s">
        <v>686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">
      <c r="B886" s="381">
        <v>98</v>
      </c>
      <c r="C886" s="1800" t="s">
        <v>686</v>
      </c>
      <c r="D886" s="1801"/>
      <c r="E886" s="382">
        <f>F886+G886+H886</f>
        <v>0</v>
      </c>
      <c r="F886" s="1429"/>
      <c r="G886" s="1430"/>
      <c r="H886" s="1431"/>
      <c r="I886" s="1459">
        <v>0</v>
      </c>
      <c r="J886" s="1460">
        <v>0</v>
      </c>
      <c r="K886" s="1461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6.5" thickBot="1">
      <c r="B890" s="1462"/>
      <c r="C890" s="393" t="s">
        <v>732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</c>
      <c r="N890" s="73" t="str">
        <f>LEFT(C772,1)</f>
        <v>8</v>
      </c>
    </row>
    <row r="891" spans="2:13" ht="15.75" thickTop="1">
      <c r="B891" s="79" t="s">
        <v>120</v>
      </c>
      <c r="C891" s="1"/>
      <c r="L891" s="6"/>
      <c r="M891" s="7">
        <f>(IF($E890&lt;&gt;0,$M$2,IF($L890&lt;&gt;0,$M$2,"")))</f>
      </c>
    </row>
    <row r="892" spans="2:13" ht="1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EMI</cp:lastModifiedBy>
  <cp:lastPrinted>2019-01-10T13:58:54Z</cp:lastPrinted>
  <dcterms:created xsi:type="dcterms:W3CDTF">1997-12-10T11:54:07Z</dcterms:created>
  <dcterms:modified xsi:type="dcterms:W3CDTF">2021-12-17T13:53:59Z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